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1. Noviembre/"/>
    </mc:Choice>
  </mc:AlternateContent>
  <xr:revisionPtr revIDLastSave="54" documentId="14_{3C60A7A4-4415-4B71-8EB5-AC83B4C4B376}" xr6:coauthVersionLast="47" xr6:coauthVersionMax="47" xr10:uidLastSave="{57EA7123-AB5F-4452-82CC-22625C329379}"/>
  <workbookProtection workbookAlgorithmName="SHA-512" workbookHashValue="yAZpn3AO2XEhyA0EmKUYr8Dr353FvyNxQS9AcvmtRJwqYs8LoY3S0BsnGyWU0oflHJ/BdfPOyRkEMISJEcnggQ==" workbookSaltValue="kz8F+q7LkYdfCuABaBdGxQ==" workbookSpinCount="100000" lockStructure="1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148" r:id="rId8"/>
    <pivotCache cacheId="153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" i="3" l="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G3" i="10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C18" i="2"/>
  <c r="D9" i="2"/>
  <c r="G52" i="32"/>
  <c r="G47" i="32"/>
  <c r="H42" i="32"/>
  <c r="C7" i="2"/>
  <c r="H44" i="32"/>
  <c r="D7" i="2"/>
  <c r="H51" i="32"/>
  <c r="H45" i="32"/>
  <c r="D18" i="2"/>
  <c r="H47" i="32"/>
  <c r="H49" i="32"/>
  <c r="G42" i="32"/>
  <c r="G44" i="32"/>
  <c r="G49" i="32"/>
  <c r="D19" i="2"/>
  <c r="G53" i="32"/>
  <c r="H52" i="32"/>
  <c r="D17" i="2"/>
  <c r="C10" i="2"/>
  <c r="B17" i="2"/>
  <c r="C16" i="2"/>
  <c r="H50" i="32"/>
  <c r="B20" i="2"/>
  <c r="B9" i="2"/>
  <c r="H46" i="32"/>
  <c r="B16" i="2"/>
  <c r="C9" i="2"/>
  <c r="H53" i="32"/>
  <c r="B10" i="2"/>
  <c r="C19" i="2"/>
  <c r="B18" i="2"/>
  <c r="G45" i="32"/>
  <c r="H43" i="32"/>
  <c r="B7" i="2"/>
  <c r="H48" i="32"/>
  <c r="C17" i="2"/>
  <c r="D10" i="2"/>
  <c r="D20" i="2"/>
  <c r="G51" i="32"/>
  <c r="C20" i="2"/>
  <c r="D16" i="2"/>
  <c r="G48" i="32"/>
  <c r="G43" i="32"/>
  <c r="B19" i="2"/>
  <c r="G50" i="32"/>
  <c r="G46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D11" i="32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10" i="32" l="1"/>
  <c r="K67" i="11" s="1"/>
  <c r="P23" i="32"/>
  <c r="K76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E70" i="11"/>
  <c r="I83" i="11"/>
  <c r="E84" i="11"/>
  <c r="E82" i="11"/>
  <c r="H97" i="11"/>
  <c r="E81" i="11"/>
  <c r="E80" i="11"/>
  <c r="I103" i="11"/>
  <c r="E71" i="11"/>
  <c r="E79" i="11"/>
  <c r="I102" i="11"/>
  <c r="I101" i="11"/>
  <c r="I100" i="11"/>
  <c r="H82" i="11"/>
  <c r="H102" i="11"/>
  <c r="E86" i="11"/>
  <c r="E85" i="11"/>
  <c r="H98" i="11"/>
  <c r="H86" i="11"/>
  <c r="I99" i="11"/>
  <c r="H101" i="11"/>
  <c r="H100" i="11"/>
  <c r="H99" i="11"/>
  <c r="E83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101" i="11"/>
  <c r="F96" i="11"/>
  <c r="H81" i="11"/>
  <c r="I96" i="11"/>
  <c r="I95" i="11"/>
  <c r="I87" i="11"/>
  <c r="I94" i="11"/>
  <c r="I93" i="11"/>
  <c r="H96" i="11"/>
  <c r="H95" i="11"/>
  <c r="H94" i="11"/>
  <c r="H93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98" i="11"/>
  <c r="F103" i="11"/>
  <c r="F97" i="11"/>
  <c r="F94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<sst xmlns="http://schemas.openxmlformats.org/spreadsheetml/2006/main" count="2303" uniqueCount="205">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</sst>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  <font>
      <sz val="8"/>
      <name val="Franklin Gothic Book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495740740742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7350764019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0" maxValue="80124754019"/>
    </cacheField>
    <cacheField name="APR BLOQUEADA" numFmtId="0">
      <sharedItems containsString="0" containsBlank="1" containsNumber="1" containsInteger="1" minValue="0" maxValue="6030773600"/>
    </cacheField>
    <cacheField name="CDP" numFmtId="0">
      <sharedItems containsString="0" containsBlank="1" containsNumber="1" minValue="0" maxValue="80124754019"/>
    </cacheField>
    <cacheField name="APR. DISPONIBLE" numFmtId="0">
      <sharedItems containsString="0" containsBlank="1" containsNumber="1" minValue="0" maxValue="1789250796"/>
    </cacheField>
    <cacheField name="COMPROMISO" numFmtId="0">
      <sharedItems containsString="0" containsBlank="1" containsNumber="1" minValue="0" maxValue="73244470717"/>
    </cacheField>
    <cacheField name="OBLIGACION" numFmtId="0">
      <sharedItems containsString="0" containsBlank="1" containsNumber="1" minValue="0" maxValue="63736024025.779999"/>
    </cacheField>
    <cacheField name="ORDEN PAGO" numFmtId="0">
      <sharedItems containsString="0" containsBlank="1" containsNumber="1" minValue="0" maxValue="63736024025.779999"/>
    </cacheField>
    <cacheField name="PAGOS" numFmtId="0">
      <sharedItems containsString="0" containsBlank="1" containsNumber="1" minValue="0" maxValue="63736024025.779999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94.49574189815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84993200882367226" maxValue="0.84993200882367226"/>
    </cacheField>
    <cacheField name="ACTUAL-OBLIGADO" numFmtId="168">
      <sharedItems containsMixedTypes="1" containsNumber="1" minValue="0.73294828696408276" maxValue="0.73294828696408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7350764019"/>
    <n v="0"/>
    <n v="80124754019"/>
    <n v="0"/>
    <n v="80124754019"/>
    <n v="0"/>
    <n v="73244470717"/>
    <n v="63736024025.779999"/>
    <n v="63736024025.779999"/>
    <n v="63736024025.779999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649980026"/>
    <n v="0"/>
    <n v="29066706026"/>
    <n v="0"/>
    <n v="29066706026"/>
    <n v="0"/>
    <n v="23712676183"/>
    <n v="23712676183"/>
    <n v="23712676183"/>
    <n v="23712676183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20894762505"/>
    <n v="14205592885"/>
    <n v="14205592885"/>
    <n v="14205592885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7349947000"/>
    <n v="0"/>
    <n v="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76203398"/>
    <n v="75081107"/>
    <n v="75081107"/>
    <n v="75081107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25385471"/>
    <n v="25385471"/>
    <n v="25385471"/>
    <n v="25385471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15346630"/>
    <n v="15339863"/>
    <n v="15339863"/>
    <n v="15339863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1569877684"/>
    <n v="0"/>
    <n v="19502044684"/>
    <n v="0"/>
    <n v="19422126977.880001"/>
    <n v="79917706.120000005"/>
    <n v="19099982665.959999"/>
    <n v="15201494372.379999"/>
    <n v="15042832392.43"/>
    <n v="15042832392.43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180093183"/>
    <n v="0"/>
    <n v="628593183"/>
    <n v="0"/>
    <n v="447127392.22000003"/>
    <n v="181465790.78"/>
    <n v="447127392.20999998"/>
    <n v="447127392.20999998"/>
    <n v="447127392.20999998"/>
    <n v="447127392.20999998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487405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460992624"/>
    <n v="448229264"/>
    <n v="448229264"/>
    <n v="448229264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7117500"/>
    <n v="7117500"/>
    <n v="7117500"/>
    <n v="71175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2527701080"/>
    <n v="516298920"/>
    <n v="2527701080"/>
    <n v="2527701080"/>
    <n v="2527701080"/>
    <n v="252770108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150000000"/>
    <n v="14279600000"/>
    <n v="0"/>
    <n v="12921340770.92"/>
    <n v="1358259229.0799999"/>
    <n v="12921340770.92"/>
    <n v="12921340770.92"/>
    <n v="12921340770.92"/>
    <n v="12921340770.92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210749204"/>
    <n v="1789250796"/>
    <n v="1111628166.9300001"/>
    <n v="1111628166.9300001"/>
    <n v="1109532649.9300001"/>
    <n v="1109532649.9300001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4535652076"/>
    <n v="0"/>
    <n v="8535652076"/>
    <n v="0"/>
    <n v="8535652076"/>
    <n v="0"/>
    <n v="6282545263.1199999"/>
    <n v="5816059703.1199999"/>
    <n v="5763390203.1199999"/>
    <n v="5763390203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453411462.1399999"/>
    <n v="1313751610.3900001"/>
    <n v="1313751610.3900001"/>
    <n v="1313751610.3900001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26017907"/>
    <n v="0"/>
    <n v="340748907"/>
    <n v="0"/>
    <n v="337261801"/>
    <n v="3487106"/>
    <n v="336761801"/>
    <n v="336536956"/>
    <n v="336536956"/>
    <n v="33653695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425745271"/>
    <n v="28154729"/>
    <n v="425745271"/>
    <n v="425745271"/>
    <n v="425745271"/>
    <n v="425745271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713336788.3299999"/>
    <n v="1440499.67"/>
    <n v="4707096739.8299999"/>
    <n v="3920262200.0700002"/>
    <n v="3920262200.0700002"/>
    <n v="3920262200.0700002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23211815774.970001"/>
    <n v="48002810.030000001"/>
    <n v="17143034418.41"/>
    <n v="10324302468.040001"/>
    <n v="9967884582.0400009"/>
    <n v="9967884582.0400009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2591893436.71"/>
    <n v="129710690.29000001"/>
    <n v="1570883857.8399999"/>
    <n v="107221971.42"/>
    <n v="107221971.42"/>
    <n v="107221971.4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84993200882367226"/>
    <n v="0.73294828696408276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148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5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topLeftCell="A2" zoomScale="84" zoomScaleNormal="98" zoomScaleSheetLayoutView="84" workbookViewId="0">
      <selection activeCell="C17" sqref="C17"/>
    </sheetView>
  </sheetViews>
  <sheetFormatPr baseColWidth="10" defaultColWidth="11.5546875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23.25">
      <c r="A6" s="90" t="s">
        <v>117</v>
      </c>
      <c r="B6" s="101">
        <f t="shared" ref="B6:G6" si="0">+B7</f>
        <v>4714777288</v>
      </c>
      <c r="C6" s="101">
        <f t="shared" si="0"/>
        <v>4707096739.8299999</v>
      </c>
      <c r="D6" s="101">
        <f t="shared" si="0"/>
        <v>3920262200.0700002</v>
      </c>
      <c r="E6" s="101">
        <f t="shared" si="0"/>
        <v>7680548.1700000763</v>
      </c>
      <c r="F6" s="102">
        <f t="shared" si="0"/>
        <v>0.99837096267737857</v>
      </c>
      <c r="G6" s="102">
        <f t="shared" si="0"/>
        <v>0.83148406819719967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4707096739.8299999</v>
      </c>
      <c r="D7" s="103">
        <f>GETPIVOTDATA("Suma de OBLIGACION",CRIS!$A$3,"CM - A","C3")</f>
        <v>3920262200.0700002</v>
      </c>
      <c r="E7" s="104">
        <f>+B7-C7</f>
        <v>7680548.1700000763</v>
      </c>
      <c r="F7" s="105">
        <f>+C7/B7</f>
        <v>0.99837096267737857</v>
      </c>
      <c r="G7" s="106">
        <f>+D7/B7</f>
        <v>0.83148406819719967</v>
      </c>
    </row>
    <row r="8" spans="1:12" ht="36">
      <c r="A8" s="90" t="s">
        <v>119</v>
      </c>
      <c r="B8" s="101">
        <f>SUM(B9:B10)</f>
        <v>25981422712</v>
      </c>
      <c r="C8" s="101">
        <f>SUM(C9:C10)</f>
        <v>18713918276.25</v>
      </c>
      <c r="D8" s="101">
        <f>SUM(D9:D10)</f>
        <v>10431524439.460001</v>
      </c>
      <c r="E8" s="101">
        <f>SUM(E9:E10)</f>
        <v>7267504435.75</v>
      </c>
      <c r="F8" s="107">
        <f>+C8/B8</f>
        <v>0.72028073611252363</v>
      </c>
      <c r="G8" s="108">
        <f>+D8/B8</f>
        <v>0.40149935417670601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17143034418.41</v>
      </c>
      <c r="D9" s="103">
        <f>GETPIVOTDATA("Suma de OBLIGACION",CRIS!$A$3,"CM - A","C11")</f>
        <v>10324302468.040001</v>
      </c>
      <c r="E9" s="103">
        <f>+B9-C9</f>
        <v>6116784166.5900002</v>
      </c>
      <c r="F9" s="105">
        <f>+C9/B9</f>
        <v>0.73702356515649492</v>
      </c>
      <c r="G9" s="109">
        <f>+D9/B9</f>
        <v>0.44386857233263333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1570883857.8399999</v>
      </c>
      <c r="D10" s="103">
        <f>GETPIVOTDATA("Suma de OBLIGACION",CRIS!$A$3,"CM - A","C12")</f>
        <v>107221971.42</v>
      </c>
      <c r="E10" s="103">
        <f>+B10-C10</f>
        <v>1150720269.1600001</v>
      </c>
      <c r="F10" s="105">
        <f>+C10/B10</f>
        <v>0.57719043054640395</v>
      </c>
      <c r="G10" s="109">
        <f>+D10/B10</f>
        <v>3.9396608182759418E-2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23421015016.080002</v>
      </c>
      <c r="D11" s="101">
        <f>+D6+D8</f>
        <v>14351786639.530001</v>
      </c>
      <c r="E11" s="101">
        <f>+E6+E8</f>
        <v>7275184983.9200001</v>
      </c>
      <c r="F11" s="107">
        <f>+C11/B11</f>
        <v>0.76299395417282923</v>
      </c>
      <c r="G11" s="108">
        <f>+D11/B11</f>
        <v>0.46754277856966009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165043198901.28</v>
      </c>
      <c r="D15" s="110">
        <f>SUM(D16:D20)</f>
        <v>142326831621.73001</v>
      </c>
      <c r="E15" s="110">
        <f>SUM(E16:E20)</f>
        <v>29140803098.720001</v>
      </c>
      <c r="F15" s="111">
        <f t="shared" ref="F15:F21" si="1">+C15/B15</f>
        <v>0.84993200882367226</v>
      </c>
      <c r="G15" s="112">
        <f t="shared" ref="G15:G21" si="2">+D15/B15</f>
        <v>0.73294828696408276</v>
      </c>
    </row>
    <row r="16" spans="1:12" ht="23.25">
      <c r="A16" s="95" t="s">
        <v>124</v>
      </c>
      <c r="B16" s="113">
        <f>GETPIVOTDATA("Suma de APR. VIGENTE",CRIS!$A$3,"CM - A","A01")</f>
        <v>134081689550</v>
      </c>
      <c r="C16" s="113">
        <f>GETPIVOTDATA("Suma de COMPROMISO",CRIS!$A$3,"CM - A","A01")</f>
        <v>117968844904</v>
      </c>
      <c r="D16" s="113">
        <f>GETPIVOTDATA("Suma de OBLIGACION",CRIS!$A$3,"CM - A","A01")</f>
        <v>101770099534.78</v>
      </c>
      <c r="E16" s="103">
        <f>+B16-C16</f>
        <v>16112844646</v>
      </c>
      <c r="F16" s="105">
        <f t="shared" si="1"/>
        <v>0.87982815028601347</v>
      </c>
      <c r="G16" s="109">
        <f t="shared" si="2"/>
        <v>0.75901564095990315</v>
      </c>
    </row>
    <row r="17" spans="1:7" ht="23.25">
      <c r="A17" s="95" t="s">
        <v>125</v>
      </c>
      <c r="B17" s="113">
        <f>GETPIVOTDATA("Suma de APR. VIGENTE",CRIS!$A$3,"CM - A","A02")</f>
        <v>19502044684</v>
      </c>
      <c r="C17" s="113">
        <f>GETPIVOTDATA("Suma de COMPROMISO",CRIS!$A$3,"CM - A","A02")</f>
        <v>19099982665.959999</v>
      </c>
      <c r="D17" s="113">
        <f>GETPIVOTDATA("Suma de OBLIGACION",CRIS!$A$3,"CM - A","A02")</f>
        <v>15201494372.379999</v>
      </c>
      <c r="E17" s="103">
        <f>+B17-C17</f>
        <v>402062018.04000092</v>
      </c>
      <c r="F17" s="105">
        <f t="shared" si="1"/>
        <v>0.97938359671743225</v>
      </c>
      <c r="G17" s="109">
        <f t="shared" si="2"/>
        <v>0.77948208091491622</v>
      </c>
    </row>
    <row r="18" spans="1:7" ht="23.25">
      <c r="A18" s="95" t="s">
        <v>126</v>
      </c>
      <c r="B18" s="113">
        <f>GETPIVOTDATA("Suma de APR. VIGENTE",CRIS!$A$3,"CM - A","A03")</f>
        <v>36308618859</v>
      </c>
      <c r="C18" s="113">
        <f>GETPIVOTDATA("Suma de COMPROMISO",CRIS!$A$3,"CM - A","A03")</f>
        <v>23758452797.18</v>
      </c>
      <c r="D18" s="113">
        <f>GETPIVOTDATA("Suma de OBLIGACION",CRIS!$A$3,"CM - A","A03")</f>
        <v>23279203877.18</v>
      </c>
      <c r="E18" s="103">
        <f>+B18-C18</f>
        <v>12550166061.82</v>
      </c>
      <c r="F18" s="105">
        <f t="shared" si="1"/>
        <v>0.65434746745512384</v>
      </c>
      <c r="G18" s="109">
        <f t="shared" si="2"/>
        <v>0.64114815183639706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3453411462.1399999</v>
      </c>
      <c r="D19" s="113">
        <f>GETPIVOTDATA("Suma de OBLIGACION",CRIS!$A$3,"CM - A","A06")</f>
        <v>1313751610.3900001</v>
      </c>
      <c r="E19" s="103">
        <f>+B19-C19</f>
        <v>43588537.860000134</v>
      </c>
      <c r="F19" s="105">
        <f t="shared" si="1"/>
        <v>0.98753544813840433</v>
      </c>
      <c r="G19" s="109">
        <f t="shared" si="2"/>
        <v>0.37567961406634259</v>
      </c>
    </row>
    <row r="20" spans="1:7" ht="24" thickBot="1">
      <c r="A20" s="95" t="s">
        <v>128</v>
      </c>
      <c r="B20" s="113">
        <f>GETPIVOTDATA("Suma de APR. VIGENTE",CRIS!$A$3,"CM - A","A08")</f>
        <v>794648907</v>
      </c>
      <c r="C20" s="113">
        <f>GETPIVOTDATA("Suma de COMPROMISO",CRIS!$A$3,"CM - A","A08")</f>
        <v>762507072</v>
      </c>
      <c r="D20" s="113">
        <f>GETPIVOTDATA("Suma de OBLIGACION",CRIS!$A$3,"CM - A","A08")</f>
        <v>762282227</v>
      </c>
      <c r="E20" s="103">
        <f>+B20-C20</f>
        <v>32141835</v>
      </c>
      <c r="F20" s="105">
        <f t="shared" si="1"/>
        <v>0.95955215603159449</v>
      </c>
      <c r="G20" s="109">
        <f t="shared" si="2"/>
        <v>0.95926920717453401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165043198901.28</v>
      </c>
      <c r="D21" s="114">
        <f>SUM(D16:D20)</f>
        <v>142326831621.73001</v>
      </c>
      <c r="E21" s="114">
        <f>SUM(E16:E20)</f>
        <v>29140803098.720001</v>
      </c>
      <c r="F21" s="115">
        <f t="shared" si="1"/>
        <v>0.84993200882367226</v>
      </c>
      <c r="G21" s="115">
        <f t="shared" si="2"/>
        <v>0.73294828696408276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188464213917.35999</v>
      </c>
      <c r="D23" s="114">
        <f>+D21+D11</f>
        <v>156678618261.26001</v>
      </c>
      <c r="E23" s="114">
        <f>+E21+E11</f>
        <v>36415988082.639999</v>
      </c>
      <c r="F23" s="115">
        <f>+C23/B23</f>
        <v>0.8380649440957012</v>
      </c>
      <c r="G23" s="115">
        <f>+D23/B23</f>
        <v>0.69672037319345703</v>
      </c>
    </row>
    <row r="30" spans="1:7">
      <c r="F30" s="99"/>
    </row>
    <row r="31" spans="1:7">
      <c r="F31" s="100"/>
    </row>
  </sheetData>
  <sheetProtection algorithmName="SHA-512" hashValue="h37ANb90oe2Y+akb5ab4EYNY4XyFA479weOTJZRWlV6myGNqK1qtZD83z+eVx3PhvEVqW/NjUJ7ctYr3P5sKPQ==" saltValue="xTME5TRs2+ddIJDv4UNQKw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bestFit="1" customWidth="1"/>
    <col min="2" max="2" width="16.6640625" bestFit="1" customWidth="1"/>
    <col min="3" max="3" width="17.21875" bestFit="1" customWidth="1"/>
    <col min="4" max="4" width="15.88671875" bestFit="1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45994</v>
      </c>
      <c r="H3" t="str">
        <f ca="1">TEXT(G3,"MMMM")</f>
        <v>diciembre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134081689550</v>
      </c>
      <c r="C5" s="83">
        <v>117968844904</v>
      </c>
      <c r="D5" s="83">
        <v>101770099534.78</v>
      </c>
      <c r="G5" t="s">
        <v>203</v>
      </c>
    </row>
    <row r="6" spans="1:9">
      <c r="A6" s="82" t="s">
        <v>138</v>
      </c>
      <c r="B6" s="83">
        <v>19502044684</v>
      </c>
      <c r="C6" s="83">
        <v>19099982665.959999</v>
      </c>
      <c r="D6" s="83">
        <v>15201494372.379999</v>
      </c>
      <c r="G6" t="str">
        <f ca="1">CONCATENATE(G4," ",H3," ",G5)</f>
        <v xml:space="preserve">EJECUCIÓN PRESUPUESTAL  diciembre 2024 ( Millones) </v>
      </c>
    </row>
    <row r="7" spans="1:9">
      <c r="A7" s="82" t="s">
        <v>139</v>
      </c>
      <c r="B7" s="83">
        <v>36308618859</v>
      </c>
      <c r="C7" s="83">
        <v>23758452797.18</v>
      </c>
      <c r="D7" s="83">
        <v>23279203877.18</v>
      </c>
    </row>
    <row r="8" spans="1:9">
      <c r="A8" s="82" t="s">
        <v>140</v>
      </c>
      <c r="B8" s="83">
        <v>3497000000</v>
      </c>
      <c r="C8" s="83">
        <v>3453411462.1399999</v>
      </c>
      <c r="D8" s="83">
        <v>1313751610.3900001</v>
      </c>
    </row>
    <row r="9" spans="1:9">
      <c r="A9" s="82" t="s">
        <v>143</v>
      </c>
      <c r="B9" s="83">
        <v>794648907</v>
      </c>
      <c r="C9" s="83">
        <v>762507072</v>
      </c>
      <c r="D9" s="83">
        <v>762282227</v>
      </c>
    </row>
    <row r="10" spans="1:9" ht="15.75">
      <c r="A10" s="82" t="s">
        <v>155</v>
      </c>
      <c r="B10" s="83">
        <v>23259818585</v>
      </c>
      <c r="C10" s="83">
        <v>17143034418.41</v>
      </c>
      <c r="D10" s="83">
        <v>10324302468.040001</v>
      </c>
      <c r="G10" s="14"/>
    </row>
    <row r="11" spans="1:9">
      <c r="A11" s="82" t="s">
        <v>156</v>
      </c>
      <c r="B11" s="83">
        <v>2721604127</v>
      </c>
      <c r="C11" s="83">
        <v>1570883857.8399999</v>
      </c>
      <c r="D11" s="83">
        <v>107221971.42</v>
      </c>
    </row>
    <row r="12" spans="1:9">
      <c r="A12" s="82" t="s">
        <v>154</v>
      </c>
      <c r="B12" s="83">
        <v>4714777288</v>
      </c>
      <c r="C12" s="83">
        <v>4707096739.8299999</v>
      </c>
      <c r="D12" s="83">
        <v>3920262200.0700002</v>
      </c>
    </row>
    <row r="13" spans="1:9">
      <c r="A13" s="82" t="s">
        <v>148</v>
      </c>
      <c r="B13" s="83">
        <v>224880202000</v>
      </c>
      <c r="C13" s="83">
        <v>188464213917.35999</v>
      </c>
      <c r="D13" s="83">
        <v>156678618261.26004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6" activePane="bottomLeft" state="frozen"/>
      <selection activeCell="B1" sqref="B1"/>
      <selection pane="bottomLeft" activeCell="B2" sqref="B2:AB24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6.33203125" style="20" customWidth="1"/>
    <col min="20" max="20" width="15.2187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7350764019</v>
      </c>
      <c r="T2" s="18">
        <v>0</v>
      </c>
      <c r="U2" s="19">
        <v>80124754019</v>
      </c>
      <c r="V2" s="18">
        <v>0</v>
      </c>
      <c r="W2" s="18">
        <v>80124754019</v>
      </c>
      <c r="X2" s="18">
        <v>0</v>
      </c>
      <c r="Y2" s="18">
        <v>73244470717</v>
      </c>
      <c r="Z2" s="18">
        <v>63736024025.779999</v>
      </c>
      <c r="AA2" s="18">
        <v>63736024025.779999</v>
      </c>
      <c r="AB2" s="18">
        <v>63736024025.779999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649980026</v>
      </c>
      <c r="T3" s="18">
        <v>0</v>
      </c>
      <c r="U3" s="19">
        <v>29066706026</v>
      </c>
      <c r="V3" s="18">
        <v>0</v>
      </c>
      <c r="W3" s="18">
        <v>29066706026</v>
      </c>
      <c r="X3" s="18">
        <v>0</v>
      </c>
      <c r="Y3" s="18">
        <v>23712676183</v>
      </c>
      <c r="Z3" s="18">
        <v>23712676183</v>
      </c>
      <c r="AA3" s="18">
        <v>23712676183</v>
      </c>
      <c r="AB3" s="18">
        <v>23712676183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20894762505</v>
      </c>
      <c r="Z4" s="18">
        <v>14205592885</v>
      </c>
      <c r="AA4" s="18">
        <v>14205592885</v>
      </c>
      <c r="AB4" s="18">
        <v>14205592885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7349947000</v>
      </c>
      <c r="U5" s="19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76203398</v>
      </c>
      <c r="Z6" s="18">
        <v>75081107</v>
      </c>
      <c r="AA6" s="18">
        <v>75081107</v>
      </c>
      <c r="AB6" s="18">
        <v>75081107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25385471</v>
      </c>
      <c r="Z7" s="18">
        <v>25385471</v>
      </c>
      <c r="AA7" s="18">
        <v>25385471</v>
      </c>
      <c r="AB7" s="18">
        <v>25385471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15346630</v>
      </c>
      <c r="Z8" s="18">
        <v>15339863</v>
      </c>
      <c r="AA8" s="18">
        <v>15339863</v>
      </c>
      <c r="AB8" s="18">
        <v>15339863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1569877684</v>
      </c>
      <c r="T9" s="18">
        <v>0</v>
      </c>
      <c r="U9" s="18">
        <v>19502044684</v>
      </c>
      <c r="V9" s="18">
        <v>0</v>
      </c>
      <c r="W9" s="18">
        <v>19422126977.880001</v>
      </c>
      <c r="X9" s="18">
        <v>79917706.120000005</v>
      </c>
      <c r="Y9" s="18">
        <v>19099982665.959999</v>
      </c>
      <c r="Z9" s="18">
        <v>15201494372.379999</v>
      </c>
      <c r="AA9" s="18">
        <v>15042832392.43</v>
      </c>
      <c r="AB9" s="18">
        <v>15042832392.43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180093183</v>
      </c>
      <c r="T11" s="18">
        <v>0</v>
      </c>
      <c r="U11" s="18">
        <v>628593183</v>
      </c>
      <c r="V11" s="18">
        <v>0</v>
      </c>
      <c r="W11" s="18">
        <v>447127392.22000003</v>
      </c>
      <c r="X11" s="18">
        <v>181465790.78</v>
      </c>
      <c r="Y11" s="18">
        <v>447127392.20999998</v>
      </c>
      <c r="Z11" s="18">
        <v>447127392.20999998</v>
      </c>
      <c r="AA11" s="18">
        <v>447127392.20999998</v>
      </c>
      <c r="AB11" s="18">
        <v>447127392.20999998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487405000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460992624</v>
      </c>
      <c r="Z13" s="18">
        <v>448229264</v>
      </c>
      <c r="AA13" s="18">
        <v>448229264</v>
      </c>
      <c r="AB13" s="18">
        <v>448229264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7117500</v>
      </c>
      <c r="Z14" s="18">
        <v>7117500</v>
      </c>
      <c r="AA14" s="18">
        <v>7117500</v>
      </c>
      <c r="AB14" s="18">
        <v>7117500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2527701080</v>
      </c>
      <c r="X15" s="18">
        <v>516298920</v>
      </c>
      <c r="Y15" s="18">
        <v>2527701080</v>
      </c>
      <c r="Z15" s="18">
        <v>2527701080</v>
      </c>
      <c r="AA15" s="18">
        <v>2527701080</v>
      </c>
      <c r="AB15" s="18">
        <v>2527701080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150000000</v>
      </c>
      <c r="U16" s="18">
        <v>14279600000</v>
      </c>
      <c r="V16" s="18">
        <v>0</v>
      </c>
      <c r="W16" s="18">
        <v>12921340770.92</v>
      </c>
      <c r="X16" s="18">
        <v>1358259229.0799999</v>
      </c>
      <c r="Y16" s="18">
        <v>12921340770.92</v>
      </c>
      <c r="Z16" s="18">
        <v>12921340770.92</v>
      </c>
      <c r="AA16" s="18">
        <v>12921340770.92</v>
      </c>
      <c r="AB16" s="18">
        <v>12921340770.92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1210749204</v>
      </c>
      <c r="X17" s="18">
        <v>1789250796</v>
      </c>
      <c r="Y17" s="18">
        <v>1111628166.9300001</v>
      </c>
      <c r="Z17" s="18">
        <v>1111628166.9300001</v>
      </c>
      <c r="AA17" s="18">
        <v>1109532649.9300001</v>
      </c>
      <c r="AB17" s="18">
        <v>1109532649.9300001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4535652076</v>
      </c>
      <c r="T18" s="18">
        <v>0</v>
      </c>
      <c r="U18" s="18">
        <v>8535652076</v>
      </c>
      <c r="V18" s="18">
        <v>0</v>
      </c>
      <c r="W18" s="18">
        <v>8535652076</v>
      </c>
      <c r="X18" s="18">
        <v>0</v>
      </c>
      <c r="Y18" s="18">
        <v>6282545263.1199999</v>
      </c>
      <c r="Z18" s="18">
        <v>5816059703.1199999</v>
      </c>
      <c r="AA18" s="18">
        <v>5763390203.1199999</v>
      </c>
      <c r="AB18" s="18">
        <v>5763390203.1199999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3453411462.1399999</v>
      </c>
      <c r="Z19" s="18">
        <v>1313751610.3900001</v>
      </c>
      <c r="AA19" s="18">
        <v>1313751610.3900001</v>
      </c>
      <c r="AB19" s="18">
        <v>1313751610.3900001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26017907</v>
      </c>
      <c r="T20" s="18">
        <v>0</v>
      </c>
      <c r="U20" s="18">
        <v>340748907</v>
      </c>
      <c r="V20" s="18">
        <v>0</v>
      </c>
      <c r="W20" s="18">
        <v>337261801</v>
      </c>
      <c r="X20" s="18">
        <v>3487106</v>
      </c>
      <c r="Y20" s="18">
        <v>336761801</v>
      </c>
      <c r="Z20" s="18">
        <v>336536956</v>
      </c>
      <c r="AA20" s="18">
        <v>336536956</v>
      </c>
      <c r="AB20" s="18">
        <v>336536956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425745271</v>
      </c>
      <c r="X21" s="18">
        <v>28154729</v>
      </c>
      <c r="Y21" s="18">
        <v>425745271</v>
      </c>
      <c r="Z21" s="18">
        <v>425745271</v>
      </c>
      <c r="AA21" s="18">
        <v>425745271</v>
      </c>
      <c r="AB21" s="18">
        <v>425745271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4713336788.3299999</v>
      </c>
      <c r="X22" s="18">
        <v>1440499.67</v>
      </c>
      <c r="Y22" s="18">
        <v>4707096739.8299999</v>
      </c>
      <c r="Z22" s="18">
        <v>3920262200.0700002</v>
      </c>
      <c r="AA22" s="18">
        <v>3920262200.0700002</v>
      </c>
      <c r="AB22" s="18">
        <v>3920262200.0700002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23211815774.970001</v>
      </c>
      <c r="X23" s="18">
        <v>48002810.030000001</v>
      </c>
      <c r="Y23" s="18">
        <v>17143034418.41</v>
      </c>
      <c r="Z23" s="18">
        <v>10324302468.040001</v>
      </c>
      <c r="AA23" s="18">
        <v>9967884582.0400009</v>
      </c>
      <c r="AB23" s="18">
        <v>9967884582.0400009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2591893436.71</v>
      </c>
      <c r="X24" s="18">
        <v>129710690.29000001</v>
      </c>
      <c r="Y24" s="18">
        <v>1570883857.8399999</v>
      </c>
      <c r="Z24" s="18">
        <v>107221971.42</v>
      </c>
      <c r="AA24" s="18">
        <v>107221971.42</v>
      </c>
      <c r="AB24" s="18">
        <v>107221971.42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37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6640625" bestFit="1" customWidth="1"/>
    <col min="4" max="4" width="11.6640625" bestFit="1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bestFit="1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165043198901.28</v>
      </c>
      <c r="C4" t="s">
        <v>145</v>
      </c>
      <c r="D4" s="13">
        <f t="shared" ref="D4:D15" si="0">B4</f>
        <v>165043198901.28</v>
      </c>
      <c r="F4" s="78" t="s">
        <v>145</v>
      </c>
      <c r="G4" s="13">
        <v>142326831621.73001</v>
      </c>
      <c r="H4" t="s">
        <v>145</v>
      </c>
      <c r="I4" s="13">
        <f t="shared" ref="I4:I15" si="1">G4</f>
        <v>142326831621.73001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0.84993200882367226</v>
      </c>
      <c r="Q4" s="72">
        <f t="shared" ref="Q4:Q15" si="5">+I4/N4</f>
        <v>0.73294828696408276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 s="130">
        <v>165043198901.28</v>
      </c>
      <c r="F17" s="78" t="s">
        <v>148</v>
      </c>
      <c r="G17" s="130">
        <v>142326831621.73001</v>
      </c>
      <c r="K17" s="78" t="s">
        <v>148</v>
      </c>
      <c r="L17" s="130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23421015016.079998</v>
      </c>
      <c r="C23" t="str">
        <f t="shared" ref="C23:C34" si="6">A23</f>
        <v>Enero</v>
      </c>
      <c r="D23" s="13">
        <f t="shared" ref="D23:D34" si="7">B23</f>
        <v>23421015016.079998</v>
      </c>
      <c r="F23" s="78" t="s">
        <v>145</v>
      </c>
      <c r="G23" s="13">
        <v>14351786639.530001</v>
      </c>
      <c r="H23" t="str">
        <f t="shared" ref="H23:H34" si="8">F23</f>
        <v>Enero</v>
      </c>
      <c r="I23" s="13">
        <f t="shared" ref="I23:I34" si="9">G23</f>
        <v>14351786639.530001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0.76299395417282911</v>
      </c>
      <c r="Q23" s="72">
        <f t="shared" ref="Q23:Q34" si="13">+I23/N23</f>
        <v>0.46754277856966009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 s="130">
        <v>23421015016.079998</v>
      </c>
      <c r="F36" s="78" t="s">
        <v>148</v>
      </c>
      <c r="G36" s="130">
        <v>14351786639.530001</v>
      </c>
      <c r="K36" s="78" t="s">
        <v>148</v>
      </c>
      <c r="L36" s="130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188464213917.35999</v>
      </c>
      <c r="E42" s="13">
        <v>156678618261.26004</v>
      </c>
      <c r="F42" t="str">
        <f t="shared" ref="F42:F53" si="14">B42</f>
        <v>Enero</v>
      </c>
      <c r="G42" s="72">
        <f>+GETPIVOTDATA("SCOMPROMISO",$B$41,"Mes","Enero")/GETPIVOTDATA(" APR. VIGENTE",$B$41,"Mes","Enero")</f>
        <v>0.8380649440957012</v>
      </c>
      <c r="H42" s="72">
        <f>+GETPIVOTDATA("SOBLIGACION",$B$41,"Mes","Enero")/GETPIVOTDATA(" APR. VIGENTE",$B$41,"Mes","Enero")</f>
        <v>0.69672037319345725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 s="130">
        <v>224880202000</v>
      </c>
      <c r="D55" s="130">
        <v>188464213917.35999</v>
      </c>
      <c r="E55" s="130">
        <v>156678618261.26004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0.84993200882367226</v>
      </c>
      <c r="L61" s="35">
        <f>'BASE OBL-COM'!Q4</f>
        <v>0.73294828696408276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0.76299395417282911</v>
      </c>
      <c r="L76" s="76">
        <f>'BASE OBL-COM'!Q23</f>
        <v>0.46754277856966009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0.76299395417282923</v>
      </c>
      <c r="F88" s="64">
        <f>+Ejecucion!D11/Ejecucion!B11</f>
        <v>0.46754277856966009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0.8380649440957012</v>
      </c>
      <c r="L92" s="76">
        <f>'BASE OBL-COM'!H42</f>
        <v>0.69672037319345725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2025-12-03T16:56:06Z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